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inerheyse/Qsync/reiner/oekonomie/eigene_datensammlungen/rentendaten/"/>
    </mc:Choice>
  </mc:AlternateContent>
  <xr:revisionPtr revIDLastSave="0" documentId="8_{4A44A308-05A0-F441-B4F1-DF5F9FB1DD5B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reh - Persönliche Ansicht" guid="{B5C66F0D-2E34-4D02-B61A-5D8F22E97336}" mergeInterval="0" personalView="1" maximized="1" windowWidth="1916" windowHeight="9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J11" i="1" s="1"/>
  <c r="I13" i="1"/>
  <c r="I21" i="1" l="1"/>
  <c r="C32" i="1"/>
  <c r="C31" i="1"/>
  <c r="C30" i="1"/>
  <c r="D30" i="1" s="1"/>
  <c r="E30" i="1" s="1"/>
  <c r="C29" i="1"/>
  <c r="D29" i="1" s="1"/>
  <c r="E29" i="1" s="1"/>
  <c r="C28" i="1"/>
  <c r="D28" i="1" s="1"/>
  <c r="E28" i="1" s="1"/>
  <c r="C27" i="1"/>
  <c r="D27" i="1" s="1"/>
  <c r="C26" i="1"/>
  <c r="C25" i="1"/>
  <c r="C24" i="1"/>
  <c r="D24" i="1" s="1"/>
  <c r="E24" i="1" s="1"/>
  <c r="C23" i="1"/>
  <c r="D23" i="1" s="1"/>
  <c r="C22" i="1"/>
  <c r="C21" i="1"/>
  <c r="C20" i="1"/>
  <c r="C19" i="1"/>
  <c r="C18" i="1"/>
  <c r="C17" i="1"/>
  <c r="C16" i="1"/>
  <c r="D16" i="1" s="1"/>
  <c r="E16" i="1" s="1"/>
  <c r="C15" i="1"/>
  <c r="D15" i="1" s="1"/>
  <c r="E15" i="1" s="1"/>
  <c r="C14" i="1"/>
  <c r="C13" i="1"/>
  <c r="D13" i="1" s="1"/>
  <c r="I32" i="1" l="1"/>
  <c r="I22" i="1"/>
  <c r="J22" i="1" s="1"/>
  <c r="I20" i="1"/>
  <c r="I30" i="1"/>
  <c r="J30" i="1" s="1"/>
  <c r="K30" i="1" s="1"/>
  <c r="I19" i="1"/>
  <c r="I18" i="1"/>
  <c r="J18" i="1" s="1"/>
  <c r="I27" i="1"/>
  <c r="I24" i="1"/>
  <c r="I31" i="1"/>
  <c r="I29" i="1"/>
  <c r="I28" i="1"/>
  <c r="I26" i="1"/>
  <c r="J26" i="1" s="1"/>
  <c r="I25" i="1"/>
  <c r="I23" i="1"/>
  <c r="I14" i="1"/>
  <c r="J14" i="1" s="1"/>
  <c r="I17" i="1"/>
  <c r="J17" i="1" s="1"/>
  <c r="I16" i="1"/>
  <c r="J16" i="1" s="1"/>
  <c r="I15" i="1"/>
  <c r="J15" i="1" s="1"/>
  <c r="J13" i="1"/>
  <c r="K13" i="1" s="1"/>
  <c r="D26" i="1"/>
  <c r="E26" i="1" s="1"/>
  <c r="E27" i="1"/>
  <c r="D31" i="1"/>
  <c r="E31" i="1" s="1"/>
  <c r="D32" i="1"/>
  <c r="E32" i="1" s="1"/>
  <c r="E23" i="1"/>
  <c r="D25" i="1"/>
  <c r="E25" i="1" s="1"/>
  <c r="D22" i="1"/>
  <c r="D17" i="1"/>
  <c r="E17" i="1" s="1"/>
  <c r="D18" i="1"/>
  <c r="E18" i="1" s="1"/>
  <c r="D19" i="1"/>
  <c r="E19" i="1" s="1"/>
  <c r="D20" i="1"/>
  <c r="E20" i="1" s="1"/>
  <c r="D21" i="1"/>
  <c r="E21" i="1" s="1"/>
  <c r="D14" i="1"/>
  <c r="E14" i="1" s="1"/>
  <c r="E13" i="1"/>
  <c r="F28" i="1" s="1"/>
  <c r="F17" i="1" l="1"/>
  <c r="G17" i="1" s="1"/>
  <c r="F26" i="1"/>
  <c r="F21" i="1"/>
  <c r="F20" i="1"/>
  <c r="G20" i="1" s="1"/>
  <c r="F24" i="1"/>
  <c r="G24" i="1" s="1"/>
  <c r="F27" i="1"/>
  <c r="G27" i="1" s="1"/>
  <c r="F15" i="1"/>
  <c r="G15" i="1" s="1"/>
  <c r="J21" i="1"/>
  <c r="J25" i="1" s="1"/>
  <c r="J29" i="1" s="1"/>
  <c r="K29" i="1" s="1"/>
  <c r="L29" i="1" s="1"/>
  <c r="F25" i="1"/>
  <c r="G25" i="1" s="1"/>
  <c r="F23" i="1"/>
  <c r="F32" i="1"/>
  <c r="G32" i="1" s="1"/>
  <c r="F31" i="1"/>
  <c r="G31" i="1" s="1"/>
  <c r="F16" i="1"/>
  <c r="G16" i="1" s="1"/>
  <c r="F19" i="1"/>
  <c r="G19" i="1" s="1"/>
  <c r="F18" i="1"/>
  <c r="G18" i="1" s="1"/>
  <c r="F29" i="1"/>
  <c r="G29" i="1" s="1"/>
  <c r="F30" i="1"/>
  <c r="G30" i="1" s="1"/>
  <c r="K16" i="1"/>
  <c r="L16" i="1" s="1"/>
  <c r="J20" i="1"/>
  <c r="J24" i="1" s="1"/>
  <c r="K15" i="1"/>
  <c r="L15" i="1" s="1"/>
  <c r="J19" i="1"/>
  <c r="J23" i="1" s="1"/>
  <c r="L13" i="1"/>
  <c r="M13" i="1"/>
  <c r="L30" i="1"/>
  <c r="M30" i="1"/>
  <c r="K17" i="1"/>
  <c r="K14" i="1"/>
  <c r="G28" i="1"/>
  <c r="G26" i="1"/>
  <c r="G21" i="1"/>
  <c r="K26" i="1"/>
  <c r="E22" i="1"/>
  <c r="K22" i="1"/>
  <c r="K18" i="1"/>
  <c r="F14" i="1"/>
  <c r="G14" i="1" s="1"/>
  <c r="M29" i="1" l="1"/>
  <c r="N29" i="1" s="1"/>
  <c r="O29" i="1" s="1"/>
  <c r="K21" i="1"/>
  <c r="L21" i="1" s="1"/>
  <c r="K20" i="1"/>
  <c r="L20" i="1" s="1"/>
  <c r="K25" i="1"/>
  <c r="L25" i="1" s="1"/>
  <c r="N30" i="1"/>
  <c r="O30" i="1" s="1"/>
  <c r="M16" i="1"/>
  <c r="N16" i="1" s="1"/>
  <c r="O16" i="1" s="1"/>
  <c r="M15" i="1"/>
  <c r="N15" i="1" s="1"/>
  <c r="O15" i="1" s="1"/>
  <c r="K23" i="1"/>
  <c r="J27" i="1"/>
  <c r="K19" i="1"/>
  <c r="M19" i="1" s="1"/>
  <c r="N19" i="1" s="1"/>
  <c r="O19" i="1" s="1"/>
  <c r="K24" i="1"/>
  <c r="J28" i="1"/>
  <c r="G23" i="1"/>
  <c r="F22" i="1"/>
  <c r="G22" i="1" s="1"/>
  <c r="L18" i="1"/>
  <c r="M18" i="1"/>
  <c r="N18" i="1" s="1"/>
  <c r="O18" i="1" s="1"/>
  <c r="L22" i="1"/>
  <c r="M22" i="1"/>
  <c r="N22" i="1" s="1"/>
  <c r="O22" i="1" s="1"/>
  <c r="L14" i="1"/>
  <c r="M14" i="1"/>
  <c r="N14" i="1" s="1"/>
  <c r="O14" i="1" s="1"/>
  <c r="L26" i="1"/>
  <c r="M26" i="1"/>
  <c r="N26" i="1" s="1"/>
  <c r="O26" i="1" s="1"/>
  <c r="L17" i="1"/>
  <c r="M17" i="1"/>
  <c r="N17" i="1" s="1"/>
  <c r="O17" i="1" s="1"/>
  <c r="M20" i="1" l="1"/>
  <c r="N20" i="1" s="1"/>
  <c r="O20" i="1" s="1"/>
  <c r="M25" i="1"/>
  <c r="N25" i="1" s="1"/>
  <c r="O25" i="1" s="1"/>
  <c r="M21" i="1"/>
  <c r="N21" i="1" s="1"/>
  <c r="O21" i="1" s="1"/>
  <c r="L19" i="1"/>
  <c r="K28" i="1"/>
  <c r="J32" i="1"/>
  <c r="K32" i="1" s="1"/>
  <c r="L24" i="1"/>
  <c r="M24" i="1"/>
  <c r="N24" i="1" s="1"/>
  <c r="O24" i="1" s="1"/>
  <c r="K27" i="1"/>
  <c r="J31" i="1"/>
  <c r="K31" i="1" s="1"/>
  <c r="L23" i="1"/>
  <c r="M23" i="1"/>
  <c r="N23" i="1" s="1"/>
  <c r="O23" i="1" s="1"/>
  <c r="L31" i="1" l="1"/>
  <c r="M31" i="1"/>
  <c r="N31" i="1" s="1"/>
  <c r="O31" i="1" s="1"/>
  <c r="L27" i="1"/>
  <c r="M27" i="1"/>
  <c r="N27" i="1" s="1"/>
  <c r="O27" i="1" s="1"/>
  <c r="L32" i="1"/>
  <c r="M32" i="1"/>
  <c r="N32" i="1" s="1"/>
  <c r="O32" i="1" s="1"/>
  <c r="L28" i="1"/>
  <c r="M28" i="1"/>
  <c r="N28" i="1" s="1"/>
  <c r="O28" i="1" s="1"/>
</calcChain>
</file>

<file path=xl/sharedStrings.xml><?xml version="1.0" encoding="utf-8"?>
<sst xmlns="http://schemas.openxmlformats.org/spreadsheetml/2006/main" count="24" uniqueCount="20">
  <si>
    <t>Produktivität</t>
  </si>
  <si>
    <t>RV-Beitrag</t>
  </si>
  <si>
    <t>Löhne - Produktivität - Renten</t>
  </si>
  <si>
    <t>Mehr abgeben und trotzdem deutlich mehr bekommen:</t>
  </si>
  <si>
    <t>Bruttoentgelt</t>
  </si>
  <si>
    <t>verbleiben</t>
  </si>
  <si>
    <t>Bruttoentgelt heute</t>
  </si>
  <si>
    <r>
      <rPr>
        <b/>
        <sz val="16"/>
        <color theme="1"/>
        <rFont val="Calibri"/>
        <family val="2"/>
        <scheme val="minor"/>
      </rPr>
      <t xml:space="preserve">Bitte selbst austesten: </t>
    </r>
    <r>
      <rPr>
        <b/>
        <sz val="20"/>
        <color rgb="FFC00000"/>
        <rFont val="Calibri"/>
        <family val="2"/>
        <scheme val="minor"/>
      </rPr>
      <t>"Was wäre wenn"- Rechner</t>
    </r>
  </si>
  <si>
    <t>Differenz</t>
  </si>
  <si>
    <t>Beitrag %</t>
  </si>
  <si>
    <t>Anteil abgegeben</t>
  </si>
  <si>
    <t>in %</t>
  </si>
  <si>
    <t>verbleiben für Erhöhung</t>
  </si>
  <si>
    <t xml:space="preserve"> + zu 2021</t>
  </si>
  <si>
    <t>Beitrag bleibt konstant bei 18,6 %</t>
  </si>
  <si>
    <t>RV-Abzug</t>
  </si>
  <si>
    <t>Die Produktivitätsentwicklung ermöglicht einen hohen Verteilungsspielraum</t>
  </si>
  <si>
    <t>Beitrag wird jährlich um 0,4% erhöht (0,2% mehr Abzug vom Bruttolohn)</t>
  </si>
  <si>
    <t>Veränderungen an den drei orangefarbigen Ausgangsgrößen vornehmen und Veränderungen bewerten. 
Die "Unfinanzierbarkeit" erweist sich selbst bei extremen Veränderungen als Unsinn.</t>
  </si>
  <si>
    <r>
      <t xml:space="preserve">In der Tabelle sind voreingestellt: Entwicklung  der </t>
    </r>
    <r>
      <rPr>
        <b/>
        <sz val="14"/>
        <color rgb="FF000000"/>
        <rFont val="Calibri"/>
        <family val="2"/>
        <scheme val="minor"/>
      </rPr>
      <t>realen Kaufkraft</t>
    </r>
    <r>
      <rPr>
        <sz val="14"/>
        <color rgb="FF000000"/>
        <rFont val="Calibri"/>
        <family val="2"/>
        <scheme val="minor"/>
      </rPr>
      <t xml:space="preserve"> bei einem Jahreseinkommen von zur Zeit </t>
    </r>
    <r>
      <rPr>
        <b/>
        <sz val="14"/>
        <color rgb="FF000000"/>
        <rFont val="Calibri"/>
        <family val="2"/>
        <scheme val="minor"/>
      </rPr>
      <t xml:space="preserve">35.000€/Jahr
</t>
    </r>
    <r>
      <rPr>
        <sz val="14"/>
        <color rgb="FF000000"/>
        <rFont val="Calibri"/>
        <family val="2"/>
        <scheme val="minor"/>
      </rPr>
      <t xml:space="preserve">und einer </t>
    </r>
    <r>
      <rPr>
        <b/>
        <sz val="14"/>
        <color rgb="FF000000"/>
        <rFont val="Calibri"/>
        <family val="2"/>
        <scheme val="minor"/>
      </rPr>
      <t xml:space="preserve">Produktivitätssteigerung von 1,5%/Jahr. Die 1,5% werden bei den Lohnsteigerungen 1:1 weitergegeben.
Der Rentenversicherungsbeitrag beträgt 18,6%. </t>
    </r>
    <r>
      <rPr>
        <sz val="14"/>
        <color rgb="FF000000"/>
        <rFont val="Calibri"/>
        <family val="2"/>
        <scheme val="minor"/>
      </rPr>
      <t>Linke Tabelle: konstant 18,6% , Rechte Tabelle: Beitrag wird jährlich um 0,4% erhöht.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</si>
</sst>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\ &quot;€&quot;;[Red]#,##0\ &quot;€&quot;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6" fontId="0" fillId="0" borderId="0" xfId="0" applyNumberFormat="1"/>
    <xf numFmtId="0" fontId="2" fillId="0" borderId="0" xfId="0" applyFont="1"/>
    <xf numFmtId="0" fontId="7" fillId="0" borderId="0" xfId="0" applyFont="1"/>
    <xf numFmtId="6" fontId="2" fillId="0" borderId="2" xfId="0" applyNumberFormat="1" applyFont="1" applyBorder="1"/>
    <xf numFmtId="164" fontId="2" fillId="0" borderId="2" xfId="0" applyNumberFormat="1" applyFont="1" applyBorder="1"/>
    <xf numFmtId="0" fontId="11" fillId="0" borderId="2" xfId="0" applyFont="1" applyBorder="1"/>
    <xf numFmtId="6" fontId="11" fillId="0" borderId="2" xfId="0" applyNumberFormat="1" applyFont="1" applyBorder="1"/>
    <xf numFmtId="0" fontId="2" fillId="0" borderId="5" xfId="0" applyFont="1" applyBorder="1"/>
    <xf numFmtId="6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7" xfId="0" applyFont="1" applyBorder="1"/>
    <xf numFmtId="0" fontId="5" fillId="0" borderId="0" xfId="0" applyFont="1" applyAlignment="1">
      <alignment horizontal="left" vertical="center" wrapText="1" readingOrder="1"/>
    </xf>
    <xf numFmtId="0" fontId="0" fillId="0" borderId="2" xfId="0" applyBorder="1"/>
    <xf numFmtId="164" fontId="2" fillId="0" borderId="8" xfId="0" applyNumberFormat="1" applyFont="1" applyBorder="1"/>
    <xf numFmtId="0" fontId="2" fillId="0" borderId="2" xfId="0" applyFont="1" applyBorder="1"/>
    <xf numFmtId="165" fontId="2" fillId="0" borderId="2" xfId="2" applyNumberFormat="1" applyFont="1" applyBorder="1"/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2" xfId="0" applyFont="1" applyBorder="1"/>
    <xf numFmtId="0" fontId="3" fillId="0" borderId="10" xfId="0" applyFont="1" applyBorder="1"/>
    <xf numFmtId="0" fontId="3" fillId="0" borderId="2" xfId="0" applyFont="1" applyBorder="1" applyAlignment="1">
      <alignment horizontal="right"/>
    </xf>
    <xf numFmtId="10" fontId="13" fillId="0" borderId="3" xfId="2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 wrapText="1" readingOrder="1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2" fillId="0" borderId="0" xfId="0" applyFont="1" applyBorder="1"/>
    <xf numFmtId="6" fontId="2" fillId="0" borderId="0" xfId="0" applyNumberFormat="1" applyFont="1" applyBorder="1"/>
    <xf numFmtId="164" fontId="2" fillId="0" borderId="0" xfId="0" applyNumberFormat="1" applyFont="1" applyBorder="1"/>
    <xf numFmtId="6" fontId="11" fillId="0" borderId="0" xfId="0" applyNumberFormat="1" applyFont="1" applyBorder="1"/>
    <xf numFmtId="165" fontId="2" fillId="0" borderId="0" xfId="2" applyNumberFormat="1" applyFont="1" applyBorder="1"/>
    <xf numFmtId="0" fontId="6" fillId="0" borderId="11" xfId="0" applyFont="1" applyBorder="1" applyAlignment="1">
      <alignment horizontal="center" vertical="center" wrapText="1" readingOrder="1"/>
    </xf>
    <xf numFmtId="0" fontId="15" fillId="0" borderId="0" xfId="0" applyFont="1"/>
    <xf numFmtId="165" fontId="3" fillId="4" borderId="2" xfId="2" applyNumberFormat="1" applyFont="1" applyFill="1" applyBorder="1"/>
    <xf numFmtId="0" fontId="12" fillId="0" borderId="4" xfId="0" applyFont="1" applyBorder="1"/>
    <xf numFmtId="0" fontId="5" fillId="0" borderId="14" xfId="0" applyFont="1" applyBorder="1" applyAlignment="1">
      <alignment horizontal="left" vertical="center" wrapText="1" readingOrder="1"/>
    </xf>
    <xf numFmtId="0" fontId="0" fillId="0" borderId="14" xfId="0" applyBorder="1"/>
    <xf numFmtId="165" fontId="2" fillId="0" borderId="14" xfId="2" applyNumberFormat="1" applyFont="1" applyBorder="1"/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6" fontId="3" fillId="0" borderId="2" xfId="0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10" fontId="9" fillId="4" borderId="3" xfId="2" applyNumberFormat="1" applyFont="1" applyFill="1" applyBorder="1" applyAlignment="1">
      <alignment horizontal="center"/>
    </xf>
    <xf numFmtId="10" fontId="9" fillId="4" borderId="11" xfId="2" applyNumberFormat="1" applyFont="1" applyFill="1" applyBorder="1" applyAlignment="1">
      <alignment horizontal="center"/>
    </xf>
    <xf numFmtId="10" fontId="9" fillId="4" borderId="4" xfId="2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0" fontId="9" fillId="3" borderId="1" xfId="1" applyNumberFormat="1" applyFont="1" applyFill="1" applyBorder="1" applyAlignment="1" applyProtection="1">
      <alignment horizontal="center"/>
      <protection locked="0"/>
    </xf>
    <xf numFmtId="6" fontId="9" fillId="3" borderId="3" xfId="1" applyNumberFormat="1" applyFont="1" applyFill="1" applyBorder="1" applyAlignment="1" applyProtection="1">
      <alignment horizontal="center" readingOrder="1"/>
      <protection locked="0"/>
    </xf>
    <xf numFmtId="6" fontId="9" fillId="3" borderId="4" xfId="1" applyNumberFormat="1" applyFont="1" applyFill="1" applyBorder="1" applyAlignment="1" applyProtection="1">
      <alignment horizontal="center" readingOrder="1"/>
      <protection locked="0"/>
    </xf>
    <xf numFmtId="10" fontId="9" fillId="3" borderId="15" xfId="2" applyNumberFormat="1" applyFont="1" applyFill="1" applyBorder="1" applyAlignment="1" applyProtection="1">
      <alignment horizontal="center"/>
      <protection locked="0"/>
    </xf>
    <xf numFmtId="165" fontId="9" fillId="4" borderId="1" xfId="1" applyNumberFormat="1" applyFont="1" applyFill="1" applyBorder="1" applyAlignment="1" applyProtection="1">
      <alignment horizontal="center"/>
    </xf>
  </cellXfs>
  <cellStyles count="3">
    <cellStyle name="40 % - Akzent6" xfId="1" builtinId="51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zoomScaleNormal="100" workbookViewId="0">
      <selection activeCell="O37" sqref="O37"/>
    </sheetView>
  </sheetViews>
  <sheetFormatPr baseColWidth="10" defaultRowHeight="15" x14ac:dyDescent="0.2"/>
  <cols>
    <col min="1" max="1" width="0.83203125" customWidth="1"/>
    <col min="2" max="2" width="6.83203125" customWidth="1"/>
    <col min="3" max="3" width="12.83203125" customWidth="1"/>
    <col min="4" max="4" width="14" customWidth="1"/>
    <col min="5" max="5" width="12.83203125" customWidth="1"/>
    <col min="6" max="6" width="12.5" customWidth="1"/>
    <col min="7" max="7" width="8.5" customWidth="1"/>
    <col min="8" max="8" width="2.5" style="37" customWidth="1"/>
    <col min="9" max="9" width="17.1640625" customWidth="1"/>
    <col min="10" max="10" width="0.1640625" customWidth="1"/>
    <col min="11" max="11" width="11.6640625" customWidth="1"/>
    <col min="12" max="12" width="8.33203125" customWidth="1"/>
    <col min="13" max="13" width="12.1640625" customWidth="1"/>
    <col min="14" max="14" width="12" customWidth="1"/>
    <col min="15" max="15" width="7.83203125" customWidth="1"/>
  </cols>
  <sheetData>
    <row r="1" spans="1:20" s="33" customFormat="1" ht="21" x14ac:dyDescent="0.25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0" ht="19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20" ht="21" x14ac:dyDescent="0.2">
      <c r="A3" s="45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0" ht="55" customHeight="1" x14ac:dyDescent="0.2">
      <c r="A4" s="46" t="s">
        <v>19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3"/>
      <c r="P4" s="3"/>
      <c r="Q4" s="3"/>
      <c r="R4" s="3"/>
      <c r="S4" s="3"/>
      <c r="T4" s="3"/>
    </row>
    <row r="5" spans="1:20" ht="12" customHeight="1" x14ac:dyDescent="0.2">
      <c r="B5" s="12"/>
      <c r="C5" s="12"/>
      <c r="D5" s="12"/>
      <c r="E5" s="12"/>
      <c r="F5" s="12"/>
      <c r="G5" s="12"/>
      <c r="H5" s="3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30" customHeight="1" x14ac:dyDescent="0.3">
      <c r="A6" s="47" t="s">
        <v>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20" ht="40" customHeight="1" x14ac:dyDescent="0.25">
      <c r="A7" s="48" t="s">
        <v>18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20" ht="16" thickBot="1" x14ac:dyDescent="0.25">
      <c r="C8" s="1"/>
      <c r="H8" s="42"/>
    </row>
    <row r="9" spans="1:20" ht="25" customHeight="1" thickBot="1" x14ac:dyDescent="0.25">
      <c r="B9" s="56" t="s">
        <v>14</v>
      </c>
      <c r="C9" s="57"/>
      <c r="D9" s="57"/>
      <c r="E9" s="57"/>
      <c r="F9" s="57"/>
      <c r="G9" s="58"/>
      <c r="H9" s="39"/>
      <c r="I9" s="59" t="s">
        <v>17</v>
      </c>
      <c r="J9" s="60"/>
      <c r="K9" s="60"/>
      <c r="L9" s="60"/>
      <c r="M9" s="60"/>
      <c r="N9" s="60"/>
      <c r="O9" s="61"/>
    </row>
    <row r="10" spans="1:20" ht="20" customHeight="1" thickBot="1" x14ac:dyDescent="0.25">
      <c r="B10" s="49" t="s">
        <v>6</v>
      </c>
      <c r="C10" s="50"/>
      <c r="D10" s="32" t="s">
        <v>0</v>
      </c>
      <c r="E10" s="23" t="s">
        <v>1</v>
      </c>
      <c r="F10" s="12"/>
      <c r="I10" s="35" t="s">
        <v>10</v>
      </c>
      <c r="J10" s="54" t="s">
        <v>12</v>
      </c>
      <c r="K10" s="54"/>
      <c r="L10" s="54"/>
      <c r="M10" s="55"/>
      <c r="O10" s="24"/>
    </row>
    <row r="11" spans="1:20" ht="25" thickBot="1" x14ac:dyDescent="0.35">
      <c r="B11" s="63">
        <v>3500</v>
      </c>
      <c r="C11" s="64"/>
      <c r="D11" s="62">
        <v>1.4999999999999999E-2</v>
      </c>
      <c r="E11" s="66">
        <v>0.186</v>
      </c>
      <c r="F11" s="2"/>
      <c r="I11" s="65">
        <v>2E-3</v>
      </c>
      <c r="J11" s="22">
        <f>K11</f>
        <v>1.2999999999999999E-2</v>
      </c>
      <c r="K11" s="51">
        <f>D11-I11</f>
        <v>1.2999999999999999E-2</v>
      </c>
      <c r="L11" s="52"/>
      <c r="M11" s="53"/>
      <c r="O11" s="25"/>
    </row>
    <row r="12" spans="1:20" ht="19" x14ac:dyDescent="0.25">
      <c r="B12" s="8"/>
      <c r="C12" s="9" t="s">
        <v>4</v>
      </c>
      <c r="D12" s="10">
        <v>1.5</v>
      </c>
      <c r="E12" s="10" t="s">
        <v>5</v>
      </c>
      <c r="F12" s="10" t="s">
        <v>13</v>
      </c>
      <c r="G12" s="21" t="s">
        <v>11</v>
      </c>
      <c r="H12" s="40"/>
      <c r="I12" s="41" t="s">
        <v>4</v>
      </c>
      <c r="J12" s="17" t="s">
        <v>8</v>
      </c>
      <c r="K12" s="18" t="s">
        <v>15</v>
      </c>
      <c r="L12" s="20" t="s">
        <v>9</v>
      </c>
      <c r="M12" s="20" t="s">
        <v>5</v>
      </c>
      <c r="N12" s="19" t="s">
        <v>13</v>
      </c>
      <c r="O12" s="21" t="s">
        <v>11</v>
      </c>
    </row>
    <row r="13" spans="1:20" ht="21" x14ac:dyDescent="0.25">
      <c r="B13" s="11">
        <v>2021</v>
      </c>
      <c r="C13" s="4">
        <f>B11</f>
        <v>3500</v>
      </c>
      <c r="D13" s="5">
        <f>C13*0.093</f>
        <v>325.5</v>
      </c>
      <c r="E13" s="4">
        <f>C13-D13</f>
        <v>3174.5</v>
      </c>
      <c r="F13" s="6"/>
      <c r="G13" s="15"/>
      <c r="H13" s="27"/>
      <c r="I13" s="4">
        <f>B11</f>
        <v>3500</v>
      </c>
      <c r="J13" s="14">
        <f t="shared" ref="J13:J32" si="0">C13-I13</f>
        <v>0</v>
      </c>
      <c r="K13" s="4">
        <f t="shared" ref="K13:K32" si="1">D13+J13</f>
        <v>325.5</v>
      </c>
      <c r="L13" s="34">
        <f t="shared" ref="L13:L32" si="2">K13/C13*2</f>
        <v>0.186</v>
      </c>
      <c r="M13" s="4">
        <f t="shared" ref="M13:M32" si="3">C13-K13</f>
        <v>3174.5</v>
      </c>
      <c r="N13" s="13"/>
      <c r="O13" s="15"/>
    </row>
    <row r="14" spans="1:20" ht="21" x14ac:dyDescent="0.25">
      <c r="B14" s="11">
        <v>2022</v>
      </c>
      <c r="C14" s="4">
        <f>B11*POWER(1+D11,1)</f>
        <v>3552.4999999999995</v>
      </c>
      <c r="D14" s="5">
        <f>C14*(E11/2)</f>
        <v>330.38249999999994</v>
      </c>
      <c r="E14" s="4">
        <f t="shared" ref="E14:E32" si="4">C14-D14</f>
        <v>3222.1174999999994</v>
      </c>
      <c r="F14" s="7">
        <f>E14-E13</f>
        <v>47.617499999999382</v>
      </c>
      <c r="G14" s="16">
        <f>F14/E13</f>
        <v>1.4999999999999805E-2</v>
      </c>
      <c r="H14" s="31"/>
      <c r="I14" s="4">
        <f>B11*POWER(1+J11,1)</f>
        <v>3545.4999999999995</v>
      </c>
      <c r="J14" s="14">
        <f t="shared" si="0"/>
        <v>7</v>
      </c>
      <c r="K14" s="4">
        <f t="shared" si="1"/>
        <v>337.38249999999994</v>
      </c>
      <c r="L14" s="34">
        <f t="shared" si="2"/>
        <v>0.18994088669950737</v>
      </c>
      <c r="M14" s="4">
        <f t="shared" si="3"/>
        <v>3215.1174999999994</v>
      </c>
      <c r="N14" s="7">
        <f>M14-M13</f>
        <v>40.617499999999382</v>
      </c>
      <c r="O14" s="16">
        <f>N14/M13</f>
        <v>1.2794928335170699E-2</v>
      </c>
    </row>
    <row r="15" spans="1:20" ht="21" x14ac:dyDescent="0.25">
      <c r="B15" s="11">
        <v>2023</v>
      </c>
      <c r="C15" s="4">
        <f>B11*POWER(1+D11,2)</f>
        <v>3605.787499999999</v>
      </c>
      <c r="D15" s="5">
        <f>C15*(E11/2)</f>
        <v>335.33823749999988</v>
      </c>
      <c r="E15" s="4">
        <f t="shared" si="4"/>
        <v>3270.4492624999993</v>
      </c>
      <c r="F15" s="7">
        <f>E15-E13</f>
        <v>95.94926249999935</v>
      </c>
      <c r="G15" s="16">
        <f>F15/E13</f>
        <v>3.0224999999999794E-2</v>
      </c>
      <c r="H15" s="31"/>
      <c r="I15" s="4">
        <f>B11*POWER(1+J11,2)</f>
        <v>3591.5914999999995</v>
      </c>
      <c r="J15" s="14">
        <f t="shared" si="0"/>
        <v>14.195999999999458</v>
      </c>
      <c r="K15" s="4">
        <f t="shared" si="1"/>
        <v>349.53423749999934</v>
      </c>
      <c r="L15" s="34">
        <f t="shared" si="2"/>
        <v>0.19387400810502528</v>
      </c>
      <c r="M15" s="4">
        <f t="shared" si="3"/>
        <v>3256.2532624999994</v>
      </c>
      <c r="N15" s="7">
        <f>M15-M13</f>
        <v>81.753262499999437</v>
      </c>
      <c r="O15" s="16">
        <f>N15/M13</f>
        <v>2.5753114663726394E-2</v>
      </c>
    </row>
    <row r="16" spans="1:20" ht="21" x14ac:dyDescent="0.25">
      <c r="B16" s="11">
        <v>2024</v>
      </c>
      <c r="C16" s="4">
        <f>B11*POWER(1+D11,3)</f>
        <v>3659.8743124999987</v>
      </c>
      <c r="D16" s="5">
        <f>C16*(E11/2)</f>
        <v>340.36831106249986</v>
      </c>
      <c r="E16" s="4">
        <f t="shared" si="4"/>
        <v>3319.506001437499</v>
      </c>
      <c r="F16" s="7">
        <f>E16-E13</f>
        <v>145.00600143749898</v>
      </c>
      <c r="G16" s="16">
        <f>F16/E13</f>
        <v>4.5678374999999681E-2</v>
      </c>
      <c r="H16" s="31"/>
      <c r="I16" s="4">
        <f>B11*POWER(1+J11,3)</f>
        <v>3638.2821894999997</v>
      </c>
      <c r="J16" s="14">
        <f t="shared" si="0"/>
        <v>21.592122999998992</v>
      </c>
      <c r="K16" s="4">
        <f t="shared" si="1"/>
        <v>361.96043406249885</v>
      </c>
      <c r="L16" s="34">
        <f t="shared" si="2"/>
        <v>0.19779937951762597</v>
      </c>
      <c r="M16" s="4">
        <f t="shared" si="3"/>
        <v>3297.9138784375</v>
      </c>
      <c r="N16" s="7">
        <f>M16-M13</f>
        <v>123.41387843749999</v>
      </c>
      <c r="O16" s="16">
        <f>N16/M13</f>
        <v>3.8876635198456445E-2</v>
      </c>
    </row>
    <row r="17" spans="2:15" ht="21" x14ac:dyDescent="0.25">
      <c r="B17" s="11">
        <v>2025</v>
      </c>
      <c r="C17" s="4">
        <f>B11*POWER(1+D11,4)</f>
        <v>3714.7724271874981</v>
      </c>
      <c r="D17" s="5">
        <f>C17*(E11/2)</f>
        <v>345.47383572843734</v>
      </c>
      <c r="E17" s="4">
        <f t="shared" si="4"/>
        <v>3369.2985914590608</v>
      </c>
      <c r="F17" s="7">
        <f>E17-E13</f>
        <v>194.79859145906084</v>
      </c>
      <c r="G17" s="16">
        <f>F17/E13</f>
        <v>6.1363550624999479E-2</v>
      </c>
      <c r="H17" s="31"/>
      <c r="I17" s="4">
        <f>B11*POWER(1+J11,4)</f>
        <v>3685.5798579634993</v>
      </c>
      <c r="J17" s="14">
        <f t="shared" si="0"/>
        <v>29.192569223998817</v>
      </c>
      <c r="K17" s="4">
        <f t="shared" si="1"/>
        <v>374.66640495243615</v>
      </c>
      <c r="L17" s="34">
        <f t="shared" si="2"/>
        <v>0.20171701620823157</v>
      </c>
      <c r="M17" s="4">
        <f t="shared" si="3"/>
        <v>3340.106022235062</v>
      </c>
      <c r="N17" s="7">
        <f>M17-M13</f>
        <v>165.60602223506203</v>
      </c>
      <c r="O17" s="16">
        <f>N17/M13</f>
        <v>5.2167592450799188E-2</v>
      </c>
    </row>
    <row r="18" spans="2:15" ht="21" x14ac:dyDescent="0.25">
      <c r="B18" s="11">
        <v>2026</v>
      </c>
      <c r="C18" s="4">
        <f>B11*POWER(1+D11,5)</f>
        <v>3770.4940135953102</v>
      </c>
      <c r="D18" s="5">
        <f>C18*(E11/2)</f>
        <v>350.65594326436383</v>
      </c>
      <c r="E18" s="4">
        <f t="shared" si="4"/>
        <v>3419.8380703309463</v>
      </c>
      <c r="F18" s="7">
        <f>E18-E13</f>
        <v>245.33807033094627</v>
      </c>
      <c r="G18" s="16">
        <f>F18/E13</f>
        <v>7.7284003884374314E-2</v>
      </c>
      <c r="H18" s="31"/>
      <c r="I18" s="4">
        <f>B11*POWER(1+J11,5)</f>
        <v>3733.4923961170243</v>
      </c>
      <c r="J18" s="14">
        <f t="shared" si="0"/>
        <v>37.00161747828588</v>
      </c>
      <c r="K18" s="4">
        <f t="shared" si="1"/>
        <v>387.65756074264971</v>
      </c>
      <c r="L18" s="34">
        <f t="shared" si="2"/>
        <v>0.20562693341767352</v>
      </c>
      <c r="M18" s="4">
        <f t="shared" si="3"/>
        <v>3382.8364528526604</v>
      </c>
      <c r="N18" s="7">
        <f>M18-M13</f>
        <v>208.33645285266039</v>
      </c>
      <c r="O18" s="16">
        <f>N18/M13</f>
        <v>6.5628115562343797E-2</v>
      </c>
    </row>
    <row r="19" spans="2:15" ht="21" x14ac:dyDescent="0.25">
      <c r="B19" s="11">
        <v>2027</v>
      </c>
      <c r="C19" s="4">
        <f>B11*POWER(1+D11,6)</f>
        <v>3827.0514237992388</v>
      </c>
      <c r="D19" s="5">
        <f>C19*(E11/2)</f>
        <v>355.91578241332923</v>
      </c>
      <c r="E19" s="4">
        <f t="shared" si="4"/>
        <v>3471.1356413859094</v>
      </c>
      <c r="F19" s="7">
        <f>E19-E13</f>
        <v>296.63564138590937</v>
      </c>
      <c r="G19" s="16">
        <f>F19/E13</f>
        <v>9.344326394263959E-2</v>
      </c>
      <c r="H19" s="31"/>
      <c r="I19" s="4">
        <f>B11*POWER(1+J11,6)</f>
        <v>3782.0277972665463</v>
      </c>
      <c r="J19" s="14">
        <f t="shared" si="0"/>
        <v>45.02362653269256</v>
      </c>
      <c r="K19" s="4">
        <f t="shared" si="1"/>
        <v>400.93940894602179</v>
      </c>
      <c r="L19" s="34">
        <f t="shared" si="2"/>
        <v>0.20952914635675116</v>
      </c>
      <c r="M19" s="4">
        <f t="shared" si="3"/>
        <v>3426.1120148532173</v>
      </c>
      <c r="N19" s="7">
        <f>M19-M13</f>
        <v>251.61201485321726</v>
      </c>
      <c r="O19" s="16">
        <f>N19/M13</f>
        <v>7.9260360640484251E-2</v>
      </c>
    </row>
    <row r="20" spans="2:15" ht="21" x14ac:dyDescent="0.25">
      <c r="B20" s="11">
        <v>2028</v>
      </c>
      <c r="C20" s="4">
        <f>B11*POWER(1+D11,7)</f>
        <v>3884.457195156227</v>
      </c>
      <c r="D20" s="5">
        <f>C20*(E11/2)</f>
        <v>361.25451914952913</v>
      </c>
      <c r="E20" s="4">
        <f t="shared" si="4"/>
        <v>3523.2026760066979</v>
      </c>
      <c r="F20" s="7">
        <f>E20-E13</f>
        <v>348.70267600669786</v>
      </c>
      <c r="G20" s="16">
        <f>F20/E13</f>
        <v>0.10984491290177913</v>
      </c>
      <c r="H20" s="31"/>
      <c r="I20" s="4">
        <f>B11*POWER(1+J11,7)</f>
        <v>3831.1941586310109</v>
      </c>
      <c r="J20" s="14">
        <f t="shared" si="0"/>
        <v>53.263036525216194</v>
      </c>
      <c r="K20" s="4">
        <f t="shared" si="1"/>
        <v>414.51755567474532</v>
      </c>
      <c r="L20" s="34">
        <f t="shared" si="2"/>
        <v>0.21342367020629457</v>
      </c>
      <c r="M20" s="4">
        <f t="shared" si="3"/>
        <v>3469.9396394814817</v>
      </c>
      <c r="N20" s="7">
        <f>M20-M13</f>
        <v>295.43963948148166</v>
      </c>
      <c r="O20" s="16">
        <f>N20/M13</f>
        <v>9.3066511098277419E-2</v>
      </c>
    </row>
    <row r="21" spans="2:15" ht="21" x14ac:dyDescent="0.25">
      <c r="B21" s="11">
        <v>2029</v>
      </c>
      <c r="C21" s="4">
        <f>B11*POWER(1+D11,8)</f>
        <v>3942.7240530835702</v>
      </c>
      <c r="D21" s="5">
        <f>C21*(E11/2)</f>
        <v>366.67333693677205</v>
      </c>
      <c r="E21" s="4">
        <f t="shared" si="4"/>
        <v>3576.0507161467981</v>
      </c>
      <c r="F21" s="7">
        <f>E21-E13</f>
        <v>401.55071614679809</v>
      </c>
      <c r="G21" s="16">
        <f>F21/E13</f>
        <v>0.12649258659530574</v>
      </c>
      <c r="H21" s="31"/>
      <c r="I21" s="4">
        <f>B11*POWER(1+J11,8)</f>
        <v>3880.9996826932143</v>
      </c>
      <c r="J21" s="14">
        <f t="shared" si="0"/>
        <v>61.724370390355944</v>
      </c>
      <c r="K21" s="4">
        <f t="shared" si="1"/>
        <v>428.39770732712799</v>
      </c>
      <c r="L21" s="34">
        <f t="shared" si="2"/>
        <v>0.21731052011721788</v>
      </c>
      <c r="M21" s="4">
        <f t="shared" si="3"/>
        <v>3514.3263457564422</v>
      </c>
      <c r="N21" s="7">
        <f>M21-M13</f>
        <v>339.82634575644215</v>
      </c>
      <c r="O21" s="16">
        <f>N21/M13</f>
        <v>0.10704877799856423</v>
      </c>
    </row>
    <row r="22" spans="2:15" ht="21" x14ac:dyDescent="0.25">
      <c r="B22" s="11">
        <v>2030</v>
      </c>
      <c r="C22" s="4">
        <f>B11*POWER(1+D11,9)</f>
        <v>4001.8649138798232</v>
      </c>
      <c r="D22" s="5">
        <f>C22*(E11/2)</f>
        <v>372.17343699082357</v>
      </c>
      <c r="E22" s="4">
        <f t="shared" si="4"/>
        <v>3629.6914768889997</v>
      </c>
      <c r="F22" s="7">
        <f>E22-E13</f>
        <v>455.19147688899966</v>
      </c>
      <c r="G22" s="16">
        <f>F22/E13</f>
        <v>0.1433899753942352</v>
      </c>
      <c r="H22" s="31"/>
      <c r="I22" s="4">
        <f>B11*POWER(1+J11,9)</f>
        <v>3931.4526785682256</v>
      </c>
      <c r="J22" s="14">
        <f t="shared" si="0"/>
        <v>70.412235311597669</v>
      </c>
      <c r="K22" s="4">
        <f t="shared" si="1"/>
        <v>442.58567230242124</v>
      </c>
      <c r="L22" s="34">
        <f t="shared" si="2"/>
        <v>0.22118971121058295</v>
      </c>
      <c r="M22" s="4">
        <f t="shared" si="3"/>
        <v>3559.279241577402</v>
      </c>
      <c r="N22" s="7">
        <f>M22-M13</f>
        <v>384.77924157740199</v>
      </c>
      <c r="O22" s="16">
        <f>N22/M13</f>
        <v>0.12120940040239471</v>
      </c>
    </row>
    <row r="23" spans="2:15" ht="21" x14ac:dyDescent="0.25">
      <c r="B23" s="11">
        <v>2031</v>
      </c>
      <c r="C23" s="4">
        <f>B11*POWER(1+D11,10)</f>
        <v>4061.8928875880201</v>
      </c>
      <c r="D23" s="5">
        <f>C23*(E11/2)</f>
        <v>377.7560385456859</v>
      </c>
      <c r="E23" s="4">
        <f t="shared" si="4"/>
        <v>3684.1368490423342</v>
      </c>
      <c r="F23" s="7">
        <f>E23-E13</f>
        <v>509.63684904233423</v>
      </c>
      <c r="G23" s="16">
        <f>F23/E13</f>
        <v>0.1605408250251486</v>
      </c>
      <c r="H23" s="31"/>
      <c r="I23" s="4">
        <f>B11*POWER(1+J11,10)</f>
        <v>3982.5615633896127</v>
      </c>
      <c r="J23" s="14">
        <f t="shared" si="0"/>
        <v>79.331324198407401</v>
      </c>
      <c r="K23" s="4">
        <f t="shared" si="1"/>
        <v>457.0873627440933</v>
      </c>
      <c r="L23" s="34">
        <f t="shared" si="2"/>
        <v>0.22506125857765535</v>
      </c>
      <c r="M23" s="4">
        <f t="shared" si="3"/>
        <v>3604.8055248439268</v>
      </c>
      <c r="N23" s="7">
        <f>M23-M13</f>
        <v>430.30552484392683</v>
      </c>
      <c r="O23" s="16">
        <f>N23/M13</f>
        <v>0.1355506457218229</v>
      </c>
    </row>
    <row r="24" spans="2:15" ht="21" x14ac:dyDescent="0.25">
      <c r="B24" s="11">
        <v>2032</v>
      </c>
      <c r="C24" s="4">
        <f>B11*POWER(1+D11,11)</f>
        <v>4122.8212809018396</v>
      </c>
      <c r="D24" s="5">
        <f>C24*(E11/2)</f>
        <v>383.42237912387105</v>
      </c>
      <c r="E24" s="4">
        <f t="shared" si="4"/>
        <v>3739.3989017779686</v>
      </c>
      <c r="F24" s="7">
        <f>E24-E13</f>
        <v>564.8989017779686</v>
      </c>
      <c r="G24" s="16">
        <f>F24/E13</f>
        <v>0.17794893740052561</v>
      </c>
      <c r="H24" s="31"/>
      <c r="I24" s="4">
        <f>B11*POWER(1+J11,11)</f>
        <v>4034.3348637136774</v>
      </c>
      <c r="J24" s="14">
        <f t="shared" si="0"/>
        <v>88.48641718816225</v>
      </c>
      <c r="K24" s="4">
        <f t="shared" si="1"/>
        <v>471.9087963120333</v>
      </c>
      <c r="L24" s="34">
        <f t="shared" si="2"/>
        <v>0.22892517727996514</v>
      </c>
      <c r="M24" s="4">
        <f t="shared" si="3"/>
        <v>3650.9124845898064</v>
      </c>
      <c r="N24" s="7">
        <f>M24-M13</f>
        <v>476.41248458980635</v>
      </c>
      <c r="O24" s="16">
        <f>N24/M13</f>
        <v>0.15007481007711651</v>
      </c>
    </row>
    <row r="25" spans="2:15" ht="21" x14ac:dyDescent="0.25">
      <c r="B25" s="11">
        <v>2033</v>
      </c>
      <c r="C25" s="4">
        <f>B11*POWER(1+D11,12)</f>
        <v>4184.6636001153665</v>
      </c>
      <c r="D25" s="5">
        <f>C25*(E11/2)</f>
        <v>389.17371481072911</v>
      </c>
      <c r="E25" s="4">
        <f t="shared" si="4"/>
        <v>3795.4898853046375</v>
      </c>
      <c r="F25" s="7">
        <f>E25-E13</f>
        <v>620.98988530463748</v>
      </c>
      <c r="G25" s="16">
        <f>F25/E13</f>
        <v>0.19561817146153332</v>
      </c>
      <c r="H25" s="31"/>
      <c r="I25" s="4">
        <f>B11*POWER(1+J11,12)</f>
        <v>4086.7812169419553</v>
      </c>
      <c r="J25" s="14">
        <f t="shared" si="0"/>
        <v>97.882383173411199</v>
      </c>
      <c r="K25" s="4">
        <f t="shared" si="1"/>
        <v>487.05609798414031</v>
      </c>
      <c r="L25" s="34">
        <f t="shared" si="2"/>
        <v>0.23278148234936386</v>
      </c>
      <c r="M25" s="4">
        <f t="shared" si="3"/>
        <v>3697.6075021312263</v>
      </c>
      <c r="N25" s="7">
        <f>M25-M13</f>
        <v>523.10750213122628</v>
      </c>
      <c r="O25" s="16">
        <f>N25/M13</f>
        <v>0.16478421865844267</v>
      </c>
    </row>
    <row r="26" spans="2:15" ht="21" x14ac:dyDescent="0.25">
      <c r="B26" s="11">
        <v>2034</v>
      </c>
      <c r="C26" s="4">
        <f>B11*POWER(1+D11,13)</f>
        <v>4247.4335541170967</v>
      </c>
      <c r="D26" s="5">
        <f>C26*(E11/2)</f>
        <v>395.01132053289001</v>
      </c>
      <c r="E26" s="4">
        <f t="shared" si="4"/>
        <v>3852.4222335842069</v>
      </c>
      <c r="F26" s="7">
        <f>E26-E13</f>
        <v>677.92223358420688</v>
      </c>
      <c r="G26" s="16">
        <f>F26/E13</f>
        <v>0.21355244403345625</v>
      </c>
      <c r="H26" s="31"/>
      <c r="I26" s="4">
        <f>B11*POWER(1+J11,13)</f>
        <v>4139.9093727622003</v>
      </c>
      <c r="J26" s="14">
        <f t="shared" si="0"/>
        <v>107.52418135489643</v>
      </c>
      <c r="K26" s="4">
        <f t="shared" si="1"/>
        <v>502.53550188778644</v>
      </c>
      <c r="L26" s="34">
        <f t="shared" si="2"/>
        <v>0.23663018878808439</v>
      </c>
      <c r="M26" s="4">
        <f t="shared" si="3"/>
        <v>3744.8980522293105</v>
      </c>
      <c r="N26" s="7">
        <f>M26-M13</f>
        <v>570.39805222931045</v>
      </c>
      <c r="O26" s="16">
        <f>N26/M13</f>
        <v>0.17968122609208079</v>
      </c>
    </row>
    <row r="27" spans="2:15" ht="21" x14ac:dyDescent="0.25">
      <c r="B27" s="11">
        <v>2035</v>
      </c>
      <c r="C27" s="4">
        <f>B11*POWER(1+D11,14)</f>
        <v>4311.1450574288519</v>
      </c>
      <c r="D27" s="5">
        <f>C27*(E11/2)</f>
        <v>400.93649034088321</v>
      </c>
      <c r="E27" s="4">
        <f t="shared" si="4"/>
        <v>3910.2085670879687</v>
      </c>
      <c r="F27" s="7">
        <f>E27-E13</f>
        <v>735.70856708796873</v>
      </c>
      <c r="G27" s="16">
        <f>F27/E13</f>
        <v>0.23175573069395772</v>
      </c>
      <c r="H27" s="31"/>
      <c r="I27" s="4">
        <f>B11*POWER(1+J11,14)</f>
        <v>4193.7281946081093</v>
      </c>
      <c r="J27" s="14">
        <f t="shared" si="0"/>
        <v>117.41686282074261</v>
      </c>
      <c r="K27" s="4">
        <f t="shared" si="1"/>
        <v>518.35335316162582</v>
      </c>
      <c r="L27" s="34">
        <f t="shared" si="2"/>
        <v>0.24047131156879675</v>
      </c>
      <c r="M27" s="4">
        <f t="shared" si="3"/>
        <v>3792.7917042672261</v>
      </c>
      <c r="N27" s="7">
        <f>M27-M13</f>
        <v>618.29170426722612</v>
      </c>
      <c r="O27" s="16">
        <f>N27/M13</f>
        <v>0.19476821681122258</v>
      </c>
    </row>
    <row r="28" spans="2:15" ht="21" x14ac:dyDescent="0.25">
      <c r="B28" s="11">
        <v>2036</v>
      </c>
      <c r="C28" s="4">
        <f>B11*POWER(1+D11,15)</f>
        <v>4375.812233290284</v>
      </c>
      <c r="D28" s="5">
        <f>C28*(E11/2)</f>
        <v>406.95053769599639</v>
      </c>
      <c r="E28" s="4">
        <f t="shared" si="4"/>
        <v>3968.8616955942875</v>
      </c>
      <c r="F28" s="7">
        <f>E28-E13</f>
        <v>794.36169559428754</v>
      </c>
      <c r="G28" s="16">
        <f>F28/E13</f>
        <v>0.25023206665436687</v>
      </c>
      <c r="H28" s="31"/>
      <c r="I28" s="4">
        <f>B11*POWER(1+J11,15)</f>
        <v>4248.2466611380141</v>
      </c>
      <c r="J28" s="14">
        <f t="shared" si="0"/>
        <v>127.56557215226985</v>
      </c>
      <c r="K28" s="4">
        <f t="shared" si="1"/>
        <v>534.5161098482663</v>
      </c>
      <c r="L28" s="34">
        <f t="shared" si="2"/>
        <v>0.24430486563467102</v>
      </c>
      <c r="M28" s="4">
        <f t="shared" si="3"/>
        <v>3841.2961234420177</v>
      </c>
      <c r="N28" s="7">
        <f>M28-M13</f>
        <v>666.79612344201769</v>
      </c>
      <c r="O28" s="16">
        <f>N28/M13</f>
        <v>0.2100476054314121</v>
      </c>
    </row>
    <row r="29" spans="2:15" ht="21" customHeight="1" x14ac:dyDescent="0.25">
      <c r="B29" s="11">
        <v>2037</v>
      </c>
      <c r="C29" s="4">
        <f>B11*POWER(1+D11,16)</f>
        <v>4441.4494167896382</v>
      </c>
      <c r="D29" s="5">
        <f>C29*(E11/2)</f>
        <v>413.05479576143637</v>
      </c>
      <c r="E29" s="4">
        <f t="shared" si="4"/>
        <v>4028.394621028202</v>
      </c>
      <c r="F29" s="7">
        <f>E29-E13</f>
        <v>853.89462102820198</v>
      </c>
      <c r="G29" s="16">
        <f>F29/E13</f>
        <v>0.26898554765418237</v>
      </c>
      <c r="H29" s="31"/>
      <c r="I29" s="4">
        <f>B11*POWER(1+J11,16)</f>
        <v>4303.4738677328078</v>
      </c>
      <c r="J29" s="14">
        <f t="shared" si="0"/>
        <v>137.97554905683046</v>
      </c>
      <c r="K29" s="4">
        <f t="shared" si="1"/>
        <v>551.03034481826683</v>
      </c>
      <c r="L29" s="34">
        <f t="shared" si="2"/>
        <v>0.24813086589943054</v>
      </c>
      <c r="M29" s="4">
        <f t="shared" si="3"/>
        <v>3890.4190719713715</v>
      </c>
      <c r="N29" s="7">
        <f>M29-M13</f>
        <v>715.91907197137152</v>
      </c>
      <c r="O29" s="16">
        <f>N29/M13</f>
        <v>0.22552183713068877</v>
      </c>
    </row>
    <row r="30" spans="2:15" ht="21" x14ac:dyDescent="0.25">
      <c r="B30" s="11">
        <v>2038</v>
      </c>
      <c r="C30" s="4">
        <f>B11*POWER(1+D11,17)</f>
        <v>4508.0711580414818</v>
      </c>
      <c r="D30" s="5">
        <f>C30*(E11/2)</f>
        <v>419.25061769785782</v>
      </c>
      <c r="E30" s="4">
        <f t="shared" si="4"/>
        <v>4088.8205403436241</v>
      </c>
      <c r="F30" s="7">
        <f>E30-E13</f>
        <v>914.32054034362409</v>
      </c>
      <c r="G30" s="16">
        <f>F30/E13</f>
        <v>0.28802033086899481</v>
      </c>
      <c r="H30" s="31"/>
      <c r="I30" s="4">
        <f>B11*POWER(1+J11,17)</f>
        <v>4359.4190280133344</v>
      </c>
      <c r="J30" s="14">
        <f t="shared" si="0"/>
        <v>148.65213002814744</v>
      </c>
      <c r="K30" s="4">
        <f t="shared" si="1"/>
        <v>567.90274772600526</v>
      </c>
      <c r="L30" s="34">
        <f t="shared" si="2"/>
        <v>0.25194932724741148</v>
      </c>
      <c r="M30" s="4">
        <f t="shared" si="3"/>
        <v>3940.1684103154766</v>
      </c>
      <c r="N30" s="7">
        <f>M30-M13</f>
        <v>765.66841031547665</v>
      </c>
      <c r="O30" s="16">
        <f>N30/M13</f>
        <v>0.24119338803448626</v>
      </c>
    </row>
    <row r="31" spans="2:15" ht="21" x14ac:dyDescent="0.25">
      <c r="B31" s="11">
        <v>2039</v>
      </c>
      <c r="C31" s="4">
        <f>B11*POWER(1+D11,18)</f>
        <v>4575.6922254121037</v>
      </c>
      <c r="D31" s="5">
        <f>C31*(E11/2)</f>
        <v>425.53937696332565</v>
      </c>
      <c r="E31" s="4">
        <f t="shared" si="4"/>
        <v>4150.1528484487781</v>
      </c>
      <c r="F31" s="7">
        <f>E31-E13</f>
        <v>975.65284844877806</v>
      </c>
      <c r="G31" s="16">
        <f>F31/E13</f>
        <v>0.30734063583202964</v>
      </c>
      <c r="H31" s="31"/>
      <c r="I31" s="4">
        <f>B11*POWER(1+J11,18)</f>
        <v>4416.0914753775078</v>
      </c>
      <c r="J31" s="14">
        <f t="shared" si="0"/>
        <v>159.60075003459588</v>
      </c>
      <c r="K31" s="4">
        <f t="shared" si="1"/>
        <v>585.14012699792147</v>
      </c>
      <c r="L31" s="34">
        <f t="shared" si="2"/>
        <v>0.25576026453362327</v>
      </c>
      <c r="M31" s="4">
        <f t="shared" si="3"/>
        <v>3990.5520984141822</v>
      </c>
      <c r="N31" s="7">
        <f>M31-M13</f>
        <v>816.05209841418218</v>
      </c>
      <c r="O31" s="16">
        <f>N31/M13</f>
        <v>0.25706476560534958</v>
      </c>
    </row>
    <row r="32" spans="2:15" ht="21" x14ac:dyDescent="0.25">
      <c r="B32" s="15">
        <v>2040</v>
      </c>
      <c r="C32" s="4">
        <f>B11*POWER(1+D11,19)</f>
        <v>4644.3276087932845</v>
      </c>
      <c r="D32" s="5">
        <f>C32*(E11/2)</f>
        <v>431.92246761777545</v>
      </c>
      <c r="E32" s="4">
        <f t="shared" si="4"/>
        <v>4212.405141175509</v>
      </c>
      <c r="F32" s="7">
        <f>E32-E13</f>
        <v>1037.905141175509</v>
      </c>
      <c r="G32" s="16">
        <f>F32/E13</f>
        <v>0.32695074536950985</v>
      </c>
      <c r="H32" s="31"/>
      <c r="I32" s="4">
        <f>B11*POWER(1+J11,19)</f>
        <v>4473.5006645574149</v>
      </c>
      <c r="J32" s="14">
        <f t="shared" si="0"/>
        <v>170.82694423586963</v>
      </c>
      <c r="K32" s="4">
        <f t="shared" si="1"/>
        <v>602.74941185364514</v>
      </c>
      <c r="L32" s="34">
        <f t="shared" si="2"/>
        <v>0.2595636925838033</v>
      </c>
      <c r="M32" s="4">
        <f t="shared" si="3"/>
        <v>4041.5781969396394</v>
      </c>
      <c r="N32" s="7">
        <f>M32-M13</f>
        <v>867.07819693963938</v>
      </c>
      <c r="O32" s="16">
        <f>N32/M13</f>
        <v>0.27313850903753012</v>
      </c>
    </row>
    <row r="33" spans="2:9" ht="21" x14ac:dyDescent="0.25">
      <c r="B33" s="27"/>
      <c r="C33" s="28"/>
      <c r="D33" s="29"/>
      <c r="E33" s="28"/>
      <c r="F33" s="30"/>
      <c r="G33" s="31"/>
      <c r="H33" s="38"/>
      <c r="I33" s="26"/>
    </row>
  </sheetData>
  <sheetProtection algorithmName="SHA-512" hashValue="zHK+p8kkO7EK2/dyr4lY4aXvR6Y7H+1U6OhVzBiEIaktCZGhQZpFdwUJIUAkFKcw/jARAxhsMQ+gyziMo/WFXg==" saltValue="k26rfJqsgtytgZScDiVPVQ==" spinCount="100000" sheet="1" objects="1" scenarios="1"/>
  <protectedRanges>
    <protectedRange sqref="B11:E11" name="Bereich1"/>
  </protectedRanges>
  <customSheetViews>
    <customSheetView guid="{B5C66F0D-2E34-4D02-B61A-5D8F22E97336}">
      <selection activeCell="A22" sqref="A22:B22"/>
      <pageMargins left="0.51181102362204722" right="0.11811023622047245" top="0.78740157480314965" bottom="0.78740157480314965" header="0.31496062992125984" footer="0.31496062992125984"/>
      <pageSetup paperSize="9" orientation="portrait" horizontalDpi="4294967293" verticalDpi="4294967293" r:id="rId1"/>
    </customSheetView>
  </customSheetViews>
  <mergeCells count="12">
    <mergeCell ref="A7:N7"/>
    <mergeCell ref="B10:C10"/>
    <mergeCell ref="B11:C11"/>
    <mergeCell ref="K11:M11"/>
    <mergeCell ref="J10:M10"/>
    <mergeCell ref="B9:G9"/>
    <mergeCell ref="I9:O9"/>
    <mergeCell ref="A1:N1"/>
    <mergeCell ref="A2:N2"/>
    <mergeCell ref="A3:N3"/>
    <mergeCell ref="A4:N4"/>
    <mergeCell ref="A6:N6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42" sqref="L42"/>
    </sheetView>
  </sheetViews>
  <sheetFormatPr baseColWidth="10" defaultRowHeight="15" x14ac:dyDescent="0.2"/>
  <sheetData/>
  <customSheetViews>
    <customSheetView guid="{B5C66F0D-2E34-4D02-B61A-5D8F22E97336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customSheetViews>
    <customSheetView guid="{B5C66F0D-2E34-4D02-B61A-5D8F22E97336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</dc:creator>
  <cp:lastModifiedBy>Microsoft Office-Benutzer</cp:lastModifiedBy>
  <cp:lastPrinted>2016-07-20T19:00:58Z</cp:lastPrinted>
  <dcterms:created xsi:type="dcterms:W3CDTF">2016-07-04T18:29:35Z</dcterms:created>
  <dcterms:modified xsi:type="dcterms:W3CDTF">2021-12-15T20:08:37Z</dcterms:modified>
</cp:coreProperties>
</file>